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210" activeTab="1"/>
  </bookViews>
  <sheets>
    <sheet name="2011 P&amp;L" sheetId="1" r:id="rId1"/>
    <sheet name="budget 2012" sheetId="2" r:id="rId2"/>
  </sheets>
  <definedNames>
    <definedName name="Ave_gig_income">'budget 2012'!$O$3</definedName>
    <definedName name="Band_members">'budget 2012'!$B$5</definedName>
    <definedName name="Dance_members">'budget 2012'!$B$6</definedName>
    <definedName name="Dance_Tuition">'budget 2012'!$C$17</definedName>
    <definedName name="Gigs_Number">'budget 2012'!$O$2</definedName>
    <definedName name="MD_team">'budget 2012'!$B$7</definedName>
    <definedName name="Minibus_fuel_ppm">'budget 2012'!$O$9</definedName>
    <definedName name="Minibus_hires">'budget 2012'!$O$6</definedName>
    <definedName name="Minibus_rate">'budget 2012'!$O$7</definedName>
    <definedName name="Monthly_rent">'budget 2012'!$B$15</definedName>
    <definedName name="Van_Fund">'budget 2012'!$C$28</definedName>
  </definedNames>
  <calcPr fullCalcOnLoad="1"/>
</workbook>
</file>

<file path=xl/comments2.xml><?xml version="1.0" encoding="utf-8"?>
<comments xmlns="http://schemas.openxmlformats.org/spreadsheetml/2006/main">
  <authors>
    <author>carter</author>
  </authors>
  <commentList>
    <comment ref="E4" authorId="0">
      <text>
        <r>
          <rPr>
            <sz val="8"/>
            <rFont val="Tahoma"/>
            <family val="2"/>
          </rPr>
          <t>External tutor sessions, and weekly Dance</t>
        </r>
      </text>
    </comment>
    <comment ref="E32" authorId="0">
      <text>
        <r>
          <rPr>
            <sz val="8"/>
            <rFont val="Tahoma"/>
            <family val="2"/>
          </rPr>
          <t>reduction for MD team</t>
        </r>
      </text>
    </comment>
  </commentList>
</comments>
</file>

<file path=xl/sharedStrings.xml><?xml version="1.0" encoding="utf-8"?>
<sst xmlns="http://schemas.openxmlformats.org/spreadsheetml/2006/main" count="165" uniqueCount="133">
  <si>
    <t>LEAMINGTON SCHOOL OF SAMBA</t>
  </si>
  <si>
    <t>Profit And Loss Account</t>
  </si>
  <si>
    <t>For the year ended 30 September 2011</t>
  </si>
  <si>
    <t xml:space="preserve">£ </t>
  </si>
  <si>
    <t>Income</t>
  </si>
  <si>
    <t>Atherstone Lights</t>
  </si>
  <si>
    <t>Bromyard</t>
  </si>
  <si>
    <t>CD Sales</t>
  </si>
  <si>
    <t>Cov Beer Festival</t>
  </si>
  <si>
    <t>Cropredy</t>
  </si>
  <si>
    <t>Dancers subs</t>
  </si>
  <si>
    <t>Everdon</t>
  </si>
  <si>
    <t>Help for Heros</t>
  </si>
  <si>
    <t>Interest receivable</t>
  </si>
  <si>
    <t>Jungle Wedding</t>
  </si>
  <si>
    <t>LSB Voiceover gig</t>
  </si>
  <si>
    <t>Shakespeare Festival</t>
  </si>
  <si>
    <t>Solihull F Festival</t>
  </si>
  <si>
    <t>Subs</t>
  </si>
  <si>
    <t>Three Villages</t>
  </si>
  <si>
    <t>Vox gig</t>
  </si>
  <si>
    <t>Warwick Folk Festival</t>
  </si>
  <si>
    <t>WDC re Grant induction</t>
  </si>
  <si>
    <t>Wedding</t>
  </si>
  <si>
    <t>Expenses</t>
  </si>
  <si>
    <t>Advertising and PR</t>
  </si>
  <si>
    <t>Bank charges</t>
  </si>
  <si>
    <t>CD's</t>
  </si>
  <si>
    <t>Computer costs</t>
  </si>
  <si>
    <t>Costumes</t>
  </si>
  <si>
    <t>Depreciation</t>
  </si>
  <si>
    <t>German costs</t>
  </si>
  <si>
    <t>Germany 2011</t>
  </si>
  <si>
    <t>Instruments</t>
  </si>
  <si>
    <t>Insurance</t>
  </si>
  <si>
    <t>Motor expenses</t>
  </si>
  <si>
    <t>Party</t>
  </si>
  <si>
    <t>Postage</t>
  </si>
  <si>
    <t>Refreshments</t>
  </si>
  <si>
    <t>Rent</t>
  </si>
  <si>
    <t>Rent re Dance</t>
  </si>
  <si>
    <t>Repairs and maintenance</t>
  </si>
  <si>
    <t>Stationery and printing</t>
  </si>
  <si>
    <t>Subscriptions</t>
  </si>
  <si>
    <t>Sundry</t>
  </si>
  <si>
    <t>Travel and subsistence</t>
  </si>
  <si>
    <t>Tuition Fees</t>
  </si>
  <si>
    <t>Tuition re Dance</t>
  </si>
  <si>
    <t>Net (loss)/profit</t>
  </si>
  <si>
    <t>Total</t>
  </si>
  <si>
    <t>Ave</t>
  </si>
  <si>
    <t>Prop</t>
  </si>
  <si>
    <t>Band Factory rent</t>
  </si>
  <si>
    <t>Tuition (paid)</t>
  </si>
  <si>
    <t>Van maintenance</t>
  </si>
  <si>
    <t>Van fuel</t>
  </si>
  <si>
    <t>Minibus hire</t>
  </si>
  <si>
    <t>External Van hire</t>
  </si>
  <si>
    <t>Per member</t>
  </si>
  <si>
    <t>per month</t>
  </si>
  <si>
    <t>Gigs</t>
  </si>
  <si>
    <t>Minibus hires</t>
  </si>
  <si>
    <t>Minibus rate</t>
  </si>
  <si>
    <t>Minibus fuel</t>
  </si>
  <si>
    <t>Dave Van rate ppm</t>
  </si>
  <si>
    <t>Car rate (ave) ppm</t>
  </si>
  <si>
    <t>Ave Distance (return)</t>
  </si>
  <si>
    <t>Minibus fuel ppm</t>
  </si>
  <si>
    <t>Dave Van use</t>
  </si>
  <si>
    <t>Cars per gig1 (no bus)</t>
  </si>
  <si>
    <t>Member Car use</t>
  </si>
  <si>
    <t>Subs reduction (Welfare)</t>
  </si>
  <si>
    <t>Total Costs</t>
  </si>
  <si>
    <t>MD member team</t>
  </si>
  <si>
    <t>Dance</t>
  </si>
  <si>
    <t>Subs reduction (MD team)</t>
  </si>
  <si>
    <t>Welfare reduction</t>
  </si>
  <si>
    <t>Band members</t>
  </si>
  <si>
    <t>Dance members</t>
  </si>
  <si>
    <t>Dance member Subs</t>
  </si>
  <si>
    <t>CDs</t>
  </si>
  <si>
    <t>Per Member</t>
  </si>
  <si>
    <t>CD Price</t>
  </si>
  <si>
    <t>Qualifying Band members</t>
  </si>
  <si>
    <t>Ave gig income</t>
  </si>
  <si>
    <t>CD Materials</t>
  </si>
  <si>
    <t>Gain/Loss</t>
  </si>
  <si>
    <t>Band member Subs Jan-Mar</t>
  </si>
  <si>
    <t>Band member Subs Apr-Dec</t>
  </si>
  <si>
    <t>Website</t>
  </si>
  <si>
    <t>Induction</t>
  </si>
  <si>
    <t>Minibus driver train</t>
  </si>
  <si>
    <t>Dance tuition (session)</t>
  </si>
  <si>
    <t>Dance sessions</t>
  </si>
  <si>
    <t>Unit</t>
  </si>
  <si>
    <t>Annual</t>
  </si>
  <si>
    <t>External Tuition rate</t>
  </si>
  <si>
    <t>External Tuition sessions</t>
  </si>
  <si>
    <t>Minibus driver training</t>
  </si>
  <si>
    <t>Paid Gigs</t>
  </si>
  <si>
    <t>Gigs revenue</t>
  </si>
  <si>
    <t>Ave per Gig</t>
  </si>
  <si>
    <t>Miscellaneous</t>
  </si>
  <si>
    <t>CD Ave sales per gig</t>
  </si>
  <si>
    <t>Cars per gig2 (with bus)</t>
  </si>
  <si>
    <t>CD sales misc</t>
  </si>
  <si>
    <t>CD Sales at gigs</t>
  </si>
  <si>
    <t>Qualifying Dance members</t>
  </si>
  <si>
    <t>Member Subscriptions</t>
  </si>
  <si>
    <t>MD team reductions</t>
  </si>
  <si>
    <t>MD team courses</t>
  </si>
  <si>
    <t>Gigs + CDs income</t>
  </si>
  <si>
    <t>Costume + Makeup</t>
  </si>
  <si>
    <t>Total Income</t>
  </si>
  <si>
    <t>Costs</t>
  </si>
  <si>
    <t>P&amp;L</t>
  </si>
  <si>
    <t>Van saving fund</t>
  </si>
  <si>
    <t>Gig Costs</t>
  </si>
  <si>
    <t>Rehearsals</t>
  </si>
  <si>
    <t>Drum</t>
  </si>
  <si>
    <t>Number of Gigs</t>
  </si>
  <si>
    <t>MD Team subs</t>
  </si>
  <si>
    <t>MD Team courses</t>
  </si>
  <si>
    <t>External Tuition</t>
  </si>
  <si>
    <t>MD Tuition substitution costs</t>
  </si>
  <si>
    <t>MD Team Course allowance</t>
  </si>
  <si>
    <t>Member</t>
  </si>
  <si>
    <t>Month</t>
  </si>
  <si>
    <t>Standard variables</t>
  </si>
  <si>
    <t>Rehearsals Summary</t>
  </si>
  <si>
    <t>Total Summary</t>
  </si>
  <si>
    <t>Band Factory Monthly rent</t>
  </si>
  <si>
    <t>Rent discount (Sun am)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</si>
</sst>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3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1" fontId="0" fillId="24" borderId="0" xfId="0" applyNumberFormat="1" applyFill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2" fontId="19" fillId="24" borderId="0" xfId="0" applyNumberFormat="1" applyFont="1" applyFill="1" applyAlignment="1">
      <alignment horizontal="center"/>
    </xf>
    <xf numFmtId="0" fontId="0" fillId="22" borderId="0" xfId="0" applyFill="1" applyAlignment="1" applyProtection="1">
      <alignment horizontal="center"/>
      <protection locked="0"/>
    </xf>
    <xf numFmtId="9" fontId="0" fillId="22" borderId="0" xfId="0" applyNumberFormat="1" applyFill="1" applyAlignment="1" applyProtection="1">
      <alignment horizontal="center"/>
      <protection locked="0"/>
    </xf>
    <xf numFmtId="0" fontId="0" fillId="22" borderId="0" xfId="0" applyFill="1" applyAlignment="1" applyProtection="1">
      <alignment/>
      <protection locked="0"/>
    </xf>
    <xf numFmtId="164" fontId="0" fillId="0" borderId="0" xfId="0" applyNumberFormat="1" applyAlignment="1">
      <alignment horizontal="center"/>
    </xf>
    <xf numFmtId="0" fontId="2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2" fontId="0" fillId="22" borderId="0" xfId="0" applyNumberFormat="1" applyFill="1" applyAlignment="1" applyProtection="1">
      <alignment horizontal="center"/>
      <protection locked="0"/>
    </xf>
    <xf numFmtId="2" fontId="2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31">
      <selection activeCell="B55" sqref="B55"/>
    </sheetView>
  </sheetViews>
  <sheetFormatPr defaultColWidth="9.140625" defaultRowHeight="15"/>
  <cols>
    <col min="1" max="1" width="15.57421875" style="0" bestFit="1" customWidth="1"/>
    <col min="3" max="3" width="23.7109375" style="0" bestFit="1" customWidth="1"/>
    <col min="4" max="4" width="6.28125" style="0" customWidth="1"/>
    <col min="5" max="5" width="7.28125" style="0" customWidth="1"/>
    <col min="7" max="7" width="6.28125" style="0" customWidth="1"/>
    <col min="8" max="8" width="7.281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5:16" ht="15">
      <c r="E5">
        <v>2011</v>
      </c>
      <c r="H5">
        <v>2010</v>
      </c>
      <c r="J5" t="s">
        <v>50</v>
      </c>
      <c r="K5" t="s">
        <v>51</v>
      </c>
      <c r="N5" t="s">
        <v>99</v>
      </c>
      <c r="P5" t="s">
        <v>100</v>
      </c>
    </row>
    <row r="6" spans="5:17" ht="15">
      <c r="E6" t="s">
        <v>3</v>
      </c>
      <c r="H6" t="s">
        <v>3</v>
      </c>
      <c r="N6">
        <v>2011</v>
      </c>
      <c r="O6">
        <v>2010</v>
      </c>
      <c r="P6">
        <v>2011</v>
      </c>
      <c r="Q6">
        <v>2010</v>
      </c>
    </row>
    <row r="7" spans="1:17" ht="15">
      <c r="A7" t="s">
        <v>4</v>
      </c>
      <c r="C7" t="s">
        <v>5</v>
      </c>
      <c r="D7">
        <v>400</v>
      </c>
      <c r="G7">
        <v>400</v>
      </c>
      <c r="J7">
        <f>(D7+G7)/2</f>
        <v>400</v>
      </c>
      <c r="K7">
        <f>J7</f>
        <v>400</v>
      </c>
      <c r="N7">
        <f>IF(D7&gt;0,1,"")</f>
        <v>1</v>
      </c>
      <c r="O7">
        <f>IF(G7&gt;0,1,"")</f>
        <v>1</v>
      </c>
      <c r="P7">
        <f>IF(N7&gt;0,D7,"")</f>
        <v>400</v>
      </c>
      <c r="Q7">
        <f>IF(O7&gt;0,G7,"")</f>
        <v>400</v>
      </c>
    </row>
    <row r="8" spans="3:17" ht="15">
      <c r="C8" t="s">
        <v>6</v>
      </c>
      <c r="D8">
        <v>0</v>
      </c>
      <c r="G8">
        <v>300</v>
      </c>
      <c r="J8">
        <f aca="true" t="shared" si="0" ref="J8:J25">(D8+G8)/2</f>
        <v>150</v>
      </c>
      <c r="K8">
        <f aca="true" t="shared" si="1" ref="K8:K25">J8</f>
        <v>150</v>
      </c>
      <c r="N8">
        <f aca="true" t="shared" si="2" ref="N8:N25">IF(D8&gt;0,1,"")</f>
      </c>
      <c r="P8">
        <f aca="true" t="shared" si="3" ref="P8:P25">IF(N8&gt;0,D8,"")</f>
        <v>0</v>
      </c>
      <c r="Q8">
        <f aca="true" t="shared" si="4" ref="Q8:Q25">IF(O8&gt;0,G8,"")</f>
      </c>
    </row>
    <row r="9" spans="3:17" ht="15">
      <c r="C9" t="s">
        <v>7</v>
      </c>
      <c r="D9">
        <v>860</v>
      </c>
      <c r="G9">
        <v>468</v>
      </c>
      <c r="J9">
        <f t="shared" si="0"/>
        <v>664</v>
      </c>
      <c r="K9">
        <f t="shared" si="1"/>
        <v>664</v>
      </c>
      <c r="P9">
        <f t="shared" si="3"/>
      </c>
      <c r="Q9">
        <f t="shared" si="4"/>
      </c>
    </row>
    <row r="10" spans="3:17" ht="15">
      <c r="C10" t="s">
        <v>8</v>
      </c>
      <c r="D10">
        <v>0</v>
      </c>
      <c r="G10">
        <v>470</v>
      </c>
      <c r="J10">
        <f t="shared" si="0"/>
        <v>235</v>
      </c>
      <c r="N10">
        <f t="shared" si="2"/>
      </c>
      <c r="O10">
        <f aca="true" t="shared" si="5" ref="O10:O25">IF(G10&gt;0,1,"")</f>
        <v>1</v>
      </c>
      <c r="P10">
        <f t="shared" si="3"/>
        <v>0</v>
      </c>
      <c r="Q10">
        <f t="shared" si="4"/>
        <v>470</v>
      </c>
    </row>
    <row r="11" spans="3:17" ht="15">
      <c r="C11" t="s">
        <v>9</v>
      </c>
      <c r="D11">
        <v>375</v>
      </c>
      <c r="G11">
        <v>400</v>
      </c>
      <c r="J11">
        <f t="shared" si="0"/>
        <v>387.5</v>
      </c>
      <c r="K11">
        <f t="shared" si="1"/>
        <v>387.5</v>
      </c>
      <c r="N11">
        <f t="shared" si="2"/>
        <v>1</v>
      </c>
      <c r="O11">
        <f t="shared" si="5"/>
        <v>1</v>
      </c>
      <c r="P11">
        <f t="shared" si="3"/>
        <v>375</v>
      </c>
      <c r="Q11">
        <f t="shared" si="4"/>
        <v>400</v>
      </c>
    </row>
    <row r="12" spans="3:17" ht="15">
      <c r="C12" t="s">
        <v>10</v>
      </c>
      <c r="D12">
        <v>50</v>
      </c>
      <c r="G12">
        <v>140</v>
      </c>
      <c r="J12">
        <f>D12</f>
        <v>50</v>
      </c>
      <c r="K12">
        <f t="shared" si="1"/>
        <v>50</v>
      </c>
      <c r="P12">
        <f t="shared" si="3"/>
      </c>
      <c r="Q12">
        <f t="shared" si="4"/>
      </c>
    </row>
    <row r="13" spans="3:17" ht="15">
      <c r="C13" t="s">
        <v>11</v>
      </c>
      <c r="D13">
        <v>400</v>
      </c>
      <c r="G13">
        <v>0</v>
      </c>
      <c r="J13">
        <f t="shared" si="0"/>
        <v>200</v>
      </c>
      <c r="K13">
        <f t="shared" si="1"/>
        <v>200</v>
      </c>
      <c r="N13">
        <f t="shared" si="2"/>
        <v>1</v>
      </c>
      <c r="O13">
        <f t="shared" si="5"/>
      </c>
      <c r="P13">
        <f t="shared" si="3"/>
        <v>400</v>
      </c>
      <c r="Q13">
        <f t="shared" si="4"/>
        <v>0</v>
      </c>
    </row>
    <row r="14" spans="3:17" ht="15">
      <c r="C14" t="s">
        <v>12</v>
      </c>
      <c r="D14">
        <v>300</v>
      </c>
      <c r="G14">
        <v>300</v>
      </c>
      <c r="J14">
        <f t="shared" si="0"/>
        <v>300</v>
      </c>
      <c r="K14">
        <f t="shared" si="1"/>
        <v>300</v>
      </c>
      <c r="N14">
        <f t="shared" si="2"/>
        <v>1</v>
      </c>
      <c r="O14">
        <f t="shared" si="5"/>
        <v>1</v>
      </c>
      <c r="P14">
        <f t="shared" si="3"/>
        <v>300</v>
      </c>
      <c r="Q14">
        <f t="shared" si="4"/>
        <v>300</v>
      </c>
    </row>
    <row r="15" spans="3:17" ht="15">
      <c r="C15" t="s">
        <v>13</v>
      </c>
      <c r="D15">
        <v>6</v>
      </c>
      <c r="G15">
        <v>0</v>
      </c>
      <c r="J15">
        <f t="shared" si="0"/>
        <v>3</v>
      </c>
      <c r="K15">
        <f t="shared" si="1"/>
        <v>3</v>
      </c>
      <c r="P15">
        <f t="shared" si="3"/>
      </c>
      <c r="Q15">
        <f t="shared" si="4"/>
      </c>
    </row>
    <row r="16" spans="3:17" ht="15">
      <c r="C16" t="s">
        <v>14</v>
      </c>
      <c r="D16">
        <v>0</v>
      </c>
      <c r="G16">
        <v>500</v>
      </c>
      <c r="J16">
        <f t="shared" si="0"/>
        <v>250</v>
      </c>
      <c r="N16">
        <f t="shared" si="2"/>
      </c>
      <c r="O16">
        <f t="shared" si="5"/>
        <v>1</v>
      </c>
      <c r="P16">
        <f t="shared" si="3"/>
        <v>0</v>
      </c>
      <c r="Q16">
        <f t="shared" si="4"/>
        <v>500</v>
      </c>
    </row>
    <row r="17" spans="3:17" ht="15">
      <c r="C17" t="s">
        <v>15</v>
      </c>
      <c r="D17">
        <v>500</v>
      </c>
      <c r="G17">
        <v>0</v>
      </c>
      <c r="J17">
        <f t="shared" si="0"/>
        <v>250</v>
      </c>
      <c r="N17">
        <f t="shared" si="2"/>
        <v>1</v>
      </c>
      <c r="O17">
        <f t="shared" si="5"/>
      </c>
      <c r="P17">
        <f t="shared" si="3"/>
        <v>500</v>
      </c>
      <c r="Q17">
        <f t="shared" si="4"/>
        <v>0</v>
      </c>
    </row>
    <row r="18" spans="3:17" ht="15">
      <c r="C18" t="s">
        <v>16</v>
      </c>
      <c r="D18">
        <v>0</v>
      </c>
      <c r="G18">
        <v>300</v>
      </c>
      <c r="J18">
        <f t="shared" si="0"/>
        <v>150</v>
      </c>
      <c r="K18">
        <f t="shared" si="1"/>
        <v>150</v>
      </c>
      <c r="N18">
        <f t="shared" si="2"/>
      </c>
      <c r="O18">
        <f t="shared" si="5"/>
        <v>1</v>
      </c>
      <c r="P18">
        <f t="shared" si="3"/>
        <v>0</v>
      </c>
      <c r="Q18">
        <f t="shared" si="4"/>
        <v>300</v>
      </c>
    </row>
    <row r="19" spans="3:17" ht="15">
      <c r="C19" t="s">
        <v>17</v>
      </c>
      <c r="D19">
        <v>0</v>
      </c>
      <c r="G19">
        <v>250</v>
      </c>
      <c r="J19">
        <f t="shared" si="0"/>
        <v>125</v>
      </c>
      <c r="K19">
        <f t="shared" si="1"/>
        <v>125</v>
      </c>
      <c r="N19">
        <f t="shared" si="2"/>
      </c>
      <c r="O19">
        <f t="shared" si="5"/>
        <v>1</v>
      </c>
      <c r="P19">
        <f t="shared" si="3"/>
        <v>0</v>
      </c>
      <c r="Q19">
        <f t="shared" si="4"/>
        <v>250</v>
      </c>
    </row>
    <row r="20" spans="3:17" ht="15">
      <c r="C20" t="s">
        <v>18</v>
      </c>
      <c r="D20" s="1">
        <v>8334</v>
      </c>
      <c r="G20" s="1">
        <v>8587</v>
      </c>
      <c r="J20">
        <f t="shared" si="0"/>
        <v>8460.5</v>
      </c>
      <c r="K20">
        <f t="shared" si="1"/>
        <v>8460.5</v>
      </c>
      <c r="P20">
        <f t="shared" si="3"/>
      </c>
      <c r="Q20">
        <f t="shared" si="4"/>
      </c>
    </row>
    <row r="21" spans="3:17" ht="15">
      <c r="C21" t="s">
        <v>19</v>
      </c>
      <c r="D21">
        <v>500</v>
      </c>
      <c r="G21">
        <v>0</v>
      </c>
      <c r="J21">
        <f t="shared" si="0"/>
        <v>250</v>
      </c>
      <c r="K21">
        <f t="shared" si="1"/>
        <v>250</v>
      </c>
      <c r="N21">
        <f t="shared" si="2"/>
        <v>1</v>
      </c>
      <c r="O21">
        <f t="shared" si="5"/>
      </c>
      <c r="P21">
        <f t="shared" si="3"/>
        <v>500</v>
      </c>
      <c r="Q21">
        <f t="shared" si="4"/>
        <v>0</v>
      </c>
    </row>
    <row r="22" spans="3:17" ht="15">
      <c r="C22" t="s">
        <v>20</v>
      </c>
      <c r="D22">
        <v>600</v>
      </c>
      <c r="G22">
        <v>0</v>
      </c>
      <c r="J22">
        <f t="shared" si="0"/>
        <v>300</v>
      </c>
      <c r="K22">
        <f t="shared" si="1"/>
        <v>300</v>
      </c>
      <c r="N22">
        <f t="shared" si="2"/>
        <v>1</v>
      </c>
      <c r="O22">
        <f t="shared" si="5"/>
      </c>
      <c r="P22">
        <f t="shared" si="3"/>
        <v>600</v>
      </c>
      <c r="Q22">
        <f t="shared" si="4"/>
        <v>0</v>
      </c>
    </row>
    <row r="23" spans="3:17" ht="15">
      <c r="C23" t="s">
        <v>21</v>
      </c>
      <c r="D23">
        <v>150</v>
      </c>
      <c r="G23">
        <v>500</v>
      </c>
      <c r="J23">
        <f t="shared" si="0"/>
        <v>325</v>
      </c>
      <c r="K23">
        <f t="shared" si="1"/>
        <v>325</v>
      </c>
      <c r="N23">
        <f t="shared" si="2"/>
        <v>1</v>
      </c>
      <c r="O23">
        <f t="shared" si="5"/>
        <v>1</v>
      </c>
      <c r="P23">
        <f t="shared" si="3"/>
        <v>150</v>
      </c>
      <c r="Q23">
        <f t="shared" si="4"/>
        <v>500</v>
      </c>
    </row>
    <row r="24" spans="3:17" ht="15">
      <c r="C24" t="s">
        <v>22</v>
      </c>
      <c r="D24">
        <v>0</v>
      </c>
      <c r="G24">
        <v>400</v>
      </c>
      <c r="J24">
        <f t="shared" si="0"/>
        <v>200</v>
      </c>
      <c r="K24">
        <f t="shared" si="1"/>
        <v>200</v>
      </c>
      <c r="N24">
        <f t="shared" si="2"/>
      </c>
      <c r="P24">
        <f t="shared" si="3"/>
        <v>0</v>
      </c>
      <c r="Q24">
        <f t="shared" si="4"/>
      </c>
    </row>
    <row r="25" spans="3:17" ht="15">
      <c r="C25" t="s">
        <v>23</v>
      </c>
      <c r="D25">
        <v>350</v>
      </c>
      <c r="G25">
        <v>500</v>
      </c>
      <c r="J25">
        <f t="shared" si="0"/>
        <v>425</v>
      </c>
      <c r="K25">
        <f t="shared" si="1"/>
        <v>425</v>
      </c>
      <c r="N25">
        <f t="shared" si="2"/>
        <v>1</v>
      </c>
      <c r="O25">
        <f t="shared" si="5"/>
        <v>1</v>
      </c>
      <c r="P25">
        <f t="shared" si="3"/>
        <v>350</v>
      </c>
      <c r="Q25">
        <f t="shared" si="4"/>
        <v>500</v>
      </c>
    </row>
    <row r="26" spans="4:17" ht="15">
      <c r="D26" s="1">
        <f>SUM(D7:D25)-D20</f>
        <v>4491</v>
      </c>
      <c r="E26" s="1">
        <v>12825</v>
      </c>
      <c r="H26" s="1">
        <v>13515</v>
      </c>
      <c r="L26">
        <f>SUM(K7:K25)</f>
        <v>12390</v>
      </c>
      <c r="N26">
        <f>SUM(N7:N25)</f>
        <v>9</v>
      </c>
      <c r="O26">
        <f>SUM(O7:O25)</f>
        <v>9</v>
      </c>
      <c r="P26">
        <f>SUM(P7:P25)</f>
        <v>3575</v>
      </c>
      <c r="Q26">
        <f>SUM(Q7:Q25)</f>
        <v>3620</v>
      </c>
    </row>
    <row r="27" spans="5:17" ht="15">
      <c r="E27" s="1">
        <v>12825</v>
      </c>
      <c r="H27" s="1">
        <v>13515</v>
      </c>
      <c r="N27" t="s">
        <v>101</v>
      </c>
      <c r="P27" s="2">
        <f>P26/N26</f>
        <v>397.22222222222223</v>
      </c>
      <c r="Q27" s="2">
        <f>Q26/O26</f>
        <v>402.22222222222223</v>
      </c>
    </row>
    <row r="29" spans="1:11" ht="15">
      <c r="A29" t="s">
        <v>24</v>
      </c>
      <c r="C29" t="s">
        <v>25</v>
      </c>
      <c r="D29">
        <v>0</v>
      </c>
      <c r="G29">
        <v>-68</v>
      </c>
      <c r="J29">
        <f aca="true" t="shared" si="6" ref="J29:J48">(D29+G29)/2</f>
        <v>-34</v>
      </c>
      <c r="K29">
        <f aca="true" t="shared" si="7" ref="K29:K51">J29</f>
        <v>-34</v>
      </c>
    </row>
    <row r="30" spans="3:11" ht="15">
      <c r="C30" t="s">
        <v>26</v>
      </c>
      <c r="D30">
        <v>4</v>
      </c>
      <c r="G30">
        <v>0</v>
      </c>
      <c r="J30">
        <f t="shared" si="6"/>
        <v>2</v>
      </c>
      <c r="K30">
        <f t="shared" si="7"/>
        <v>2</v>
      </c>
    </row>
    <row r="31" spans="3:11" ht="15">
      <c r="C31" t="s">
        <v>27</v>
      </c>
      <c r="D31" s="1">
        <v>-1030</v>
      </c>
      <c r="G31">
        <v>-329</v>
      </c>
      <c r="K31">
        <f t="shared" si="7"/>
        <v>0</v>
      </c>
    </row>
    <row r="32" spans="3:11" ht="15">
      <c r="C32" t="s">
        <v>28</v>
      </c>
      <c r="D32">
        <v>-84</v>
      </c>
      <c r="G32">
        <v>0</v>
      </c>
      <c r="J32">
        <f t="shared" si="6"/>
        <v>-42</v>
      </c>
      <c r="K32">
        <f t="shared" si="7"/>
        <v>-42</v>
      </c>
    </row>
    <row r="33" spans="3:11" ht="15">
      <c r="C33" t="s">
        <v>29</v>
      </c>
      <c r="D33">
        <v>-293</v>
      </c>
      <c r="G33">
        <v>-859</v>
      </c>
      <c r="J33">
        <f t="shared" si="6"/>
        <v>-576</v>
      </c>
      <c r="K33">
        <f t="shared" si="7"/>
        <v>-576</v>
      </c>
    </row>
    <row r="34" spans="3:11" ht="15">
      <c r="C34" t="s">
        <v>30</v>
      </c>
      <c r="D34">
        <v>-412</v>
      </c>
      <c r="G34">
        <v>0</v>
      </c>
      <c r="J34">
        <f t="shared" si="6"/>
        <v>-206</v>
      </c>
      <c r="K34">
        <f t="shared" si="7"/>
        <v>-206</v>
      </c>
    </row>
    <row r="35" spans="3:10" ht="15">
      <c r="C35" t="s">
        <v>31</v>
      </c>
      <c r="D35">
        <v>0</v>
      </c>
      <c r="G35">
        <v>-75</v>
      </c>
      <c r="J35">
        <f t="shared" si="6"/>
        <v>-37.5</v>
      </c>
    </row>
    <row r="36" spans="3:11" ht="15">
      <c r="C36" t="s">
        <v>32</v>
      </c>
      <c r="D36">
        <v>150</v>
      </c>
      <c r="G36">
        <v>0</v>
      </c>
      <c r="J36">
        <f t="shared" si="6"/>
        <v>75</v>
      </c>
      <c r="K36">
        <f t="shared" si="7"/>
        <v>75</v>
      </c>
    </row>
    <row r="37" spans="3:11" ht="15">
      <c r="C37" t="s">
        <v>33</v>
      </c>
      <c r="D37">
        <v>-354</v>
      </c>
      <c r="G37">
        <v>-894</v>
      </c>
      <c r="J37">
        <f t="shared" si="6"/>
        <v>-624</v>
      </c>
      <c r="K37">
        <f t="shared" si="7"/>
        <v>-624</v>
      </c>
    </row>
    <row r="38" spans="3:10" ht="15">
      <c r="C38" t="s">
        <v>34</v>
      </c>
      <c r="D38">
        <v>-200</v>
      </c>
      <c r="G38">
        <v>-200</v>
      </c>
      <c r="J38">
        <f t="shared" si="6"/>
        <v>-200</v>
      </c>
    </row>
    <row r="39" spans="3:10" ht="15">
      <c r="C39" t="s">
        <v>35</v>
      </c>
      <c r="D39" s="1">
        <v>-1222</v>
      </c>
      <c r="G39" s="1">
        <v>-1432</v>
      </c>
      <c r="J39">
        <f t="shared" si="6"/>
        <v>-1327</v>
      </c>
    </row>
    <row r="40" spans="3:11" ht="15">
      <c r="C40" t="s">
        <v>36</v>
      </c>
      <c r="D40">
        <v>0</v>
      </c>
      <c r="G40">
        <v>-10</v>
      </c>
      <c r="J40">
        <f t="shared" si="6"/>
        <v>-5</v>
      </c>
      <c r="K40">
        <f t="shared" si="7"/>
        <v>-5</v>
      </c>
    </row>
    <row r="41" spans="3:11" ht="15">
      <c r="C41" t="s">
        <v>37</v>
      </c>
      <c r="D41">
        <v>-101</v>
      </c>
      <c r="G41">
        <v>0</v>
      </c>
      <c r="J41">
        <f t="shared" si="6"/>
        <v>-50.5</v>
      </c>
      <c r="K41">
        <f t="shared" si="7"/>
        <v>-50.5</v>
      </c>
    </row>
    <row r="42" spans="3:11" ht="15">
      <c r="C42" t="s">
        <v>38</v>
      </c>
      <c r="D42">
        <v>-270</v>
      </c>
      <c r="G42">
        <v>-188</v>
      </c>
      <c r="J42">
        <f>D42</f>
        <v>-270</v>
      </c>
      <c r="K42">
        <f t="shared" si="7"/>
        <v>-270</v>
      </c>
    </row>
    <row r="43" spans="3:11" ht="15">
      <c r="C43" t="s">
        <v>39</v>
      </c>
      <c r="D43" s="1">
        <v>-2940</v>
      </c>
      <c r="G43" s="1">
        <v>-2720</v>
      </c>
      <c r="J43" s="1">
        <f>D43</f>
        <v>-2940</v>
      </c>
      <c r="K43">
        <f t="shared" si="7"/>
        <v>-2940</v>
      </c>
    </row>
    <row r="44" spans="3:10" ht="15">
      <c r="C44" t="s">
        <v>40</v>
      </c>
      <c r="D44">
        <v>0</v>
      </c>
      <c r="G44">
        <v>-15</v>
      </c>
      <c r="J44">
        <f t="shared" si="6"/>
        <v>-7.5</v>
      </c>
    </row>
    <row r="45" spans="3:11" ht="15">
      <c r="C45" t="s">
        <v>41</v>
      </c>
      <c r="D45">
        <v>-250</v>
      </c>
      <c r="G45">
        <v>-6</v>
      </c>
      <c r="J45">
        <f t="shared" si="6"/>
        <v>-128</v>
      </c>
      <c r="K45">
        <f t="shared" si="7"/>
        <v>-128</v>
      </c>
    </row>
    <row r="46" spans="3:11" ht="15">
      <c r="C46" t="s">
        <v>42</v>
      </c>
      <c r="D46">
        <v>-86</v>
      </c>
      <c r="G46">
        <v>-180</v>
      </c>
      <c r="J46">
        <f t="shared" si="6"/>
        <v>-133</v>
      </c>
      <c r="K46">
        <f t="shared" si="7"/>
        <v>-133</v>
      </c>
    </row>
    <row r="47" spans="3:11" ht="15">
      <c r="C47" t="s">
        <v>43</v>
      </c>
      <c r="D47">
        <v>-173</v>
      </c>
      <c r="G47">
        <v>0</v>
      </c>
      <c r="J47">
        <f t="shared" si="6"/>
        <v>-86.5</v>
      </c>
      <c r="K47">
        <f t="shared" si="7"/>
        <v>-86.5</v>
      </c>
    </row>
    <row r="48" spans="3:11" ht="15">
      <c r="C48" t="s">
        <v>44</v>
      </c>
      <c r="D48">
        <v>-11</v>
      </c>
      <c r="G48">
        <v>0</v>
      </c>
      <c r="J48">
        <f t="shared" si="6"/>
        <v>-5.5</v>
      </c>
      <c r="K48">
        <f t="shared" si="7"/>
        <v>-5.5</v>
      </c>
    </row>
    <row r="49" spans="3:11" ht="15">
      <c r="C49" t="s">
        <v>45</v>
      </c>
      <c r="D49">
        <v>-377</v>
      </c>
      <c r="G49">
        <v>-187</v>
      </c>
      <c r="J49">
        <f>D49</f>
        <v>-377</v>
      </c>
      <c r="K49">
        <f t="shared" si="7"/>
        <v>-377</v>
      </c>
    </row>
    <row r="50" spans="3:10" ht="15">
      <c r="C50" t="s">
        <v>46</v>
      </c>
      <c r="D50" s="1">
        <v>-5922</v>
      </c>
      <c r="G50" s="1">
        <v>-4200</v>
      </c>
      <c r="J50" s="1">
        <f>D50</f>
        <v>-5922</v>
      </c>
    </row>
    <row r="51" spans="3:11" ht="15">
      <c r="C51" t="s">
        <v>47</v>
      </c>
      <c r="D51" s="1">
        <v>-1170</v>
      </c>
      <c r="G51" s="1">
        <v>-1140</v>
      </c>
      <c r="J51" s="1">
        <f>D51</f>
        <v>-1170</v>
      </c>
      <c r="K51">
        <f t="shared" si="7"/>
        <v>-1170</v>
      </c>
    </row>
    <row r="52" spans="5:12" ht="15">
      <c r="E52" s="1">
        <v>-14742</v>
      </c>
      <c r="H52" s="1">
        <v>-12503</v>
      </c>
      <c r="L52" s="1">
        <f>SUM(K29:K51)</f>
        <v>-6570.5</v>
      </c>
    </row>
    <row r="53" spans="5:12" ht="15">
      <c r="E53" s="1">
        <v>-1917</v>
      </c>
      <c r="H53" s="1">
        <v>1012</v>
      </c>
      <c r="L53" s="1">
        <f>L26+L52</f>
        <v>5819.5</v>
      </c>
    </row>
    <row r="56" spans="1:8" ht="15">
      <c r="A56" t="s">
        <v>48</v>
      </c>
      <c r="E56" s="1">
        <v>-1917</v>
      </c>
      <c r="H56" s="1">
        <v>1012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pane xSplit="3" ySplit="1" topLeftCell="D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2" sqref="O2"/>
    </sheetView>
  </sheetViews>
  <sheetFormatPr defaultColWidth="9.140625" defaultRowHeight="15"/>
  <cols>
    <col min="1" max="1" width="26.140625" style="0" bestFit="1" customWidth="1"/>
    <col min="4" max="4" width="7.28125" style="0" customWidth="1"/>
    <col min="5" max="5" width="20.28125" style="0" bestFit="1" customWidth="1"/>
    <col min="6" max="6" width="6.57421875" style="0" bestFit="1" customWidth="1"/>
    <col min="7" max="7" width="7.28125" style="0" bestFit="1" customWidth="1"/>
    <col min="8" max="8" width="10.57421875" style="0" bestFit="1" customWidth="1"/>
    <col min="9" max="11" width="6.57421875" style="0" bestFit="1" customWidth="1"/>
    <col min="12" max="12" width="8.57421875" style="0" bestFit="1" customWidth="1"/>
    <col min="13" max="13" width="8.57421875" style="0" customWidth="1"/>
    <col min="14" max="14" width="20.140625" style="0" bestFit="1" customWidth="1"/>
    <col min="15" max="15" width="6.00390625" style="0" bestFit="1" customWidth="1"/>
    <col min="16" max="16" width="8.57421875" style="0" bestFit="1" customWidth="1"/>
    <col min="17" max="17" width="6.8515625" style="0" bestFit="1" customWidth="1"/>
  </cols>
  <sheetData>
    <row r="1" spans="1:16" ht="15">
      <c r="A1" t="s">
        <v>128</v>
      </c>
      <c r="B1" s="4" t="s">
        <v>94</v>
      </c>
      <c r="C1" s="4" t="s">
        <v>95</v>
      </c>
      <c r="F1" s="15" t="s">
        <v>119</v>
      </c>
      <c r="G1" s="15" t="s">
        <v>74</v>
      </c>
      <c r="H1" s="16" t="s">
        <v>118</v>
      </c>
      <c r="I1" s="15" t="s">
        <v>60</v>
      </c>
      <c r="J1" s="15" t="s">
        <v>80</v>
      </c>
      <c r="K1" s="15" t="s">
        <v>49</v>
      </c>
      <c r="N1" s="4" t="s">
        <v>117</v>
      </c>
      <c r="O1" s="4" t="s">
        <v>94</v>
      </c>
      <c r="P1" s="4" t="s">
        <v>95</v>
      </c>
    </row>
    <row r="2" spans="1:15" ht="15">
      <c r="A2" t="s">
        <v>87</v>
      </c>
      <c r="B2" s="6">
        <v>25</v>
      </c>
      <c r="C2" s="6">
        <f>B2*3</f>
        <v>75</v>
      </c>
      <c r="E2" t="s">
        <v>52</v>
      </c>
      <c r="F2" s="6">
        <f>(Monthly_rent*12)-G2-G3</f>
        <v>2940</v>
      </c>
      <c r="G2" s="6">
        <f>Monthly_rent*12/3</f>
        <v>980</v>
      </c>
      <c r="H2" s="17">
        <f aca="true" t="shared" si="0" ref="H2:H24">F2+G2</f>
        <v>3920</v>
      </c>
      <c r="I2" s="6"/>
      <c r="J2" s="6"/>
      <c r="K2" s="6">
        <f>SUM(H2:J2)</f>
        <v>3920</v>
      </c>
      <c r="N2" t="s">
        <v>120</v>
      </c>
      <c r="O2" s="30">
        <v>9</v>
      </c>
    </row>
    <row r="3" spans="1:16" ht="15">
      <c r="A3" t="s">
        <v>88</v>
      </c>
      <c r="B3" s="30">
        <v>25</v>
      </c>
      <c r="C3" s="6">
        <f>B3*9</f>
        <v>225</v>
      </c>
      <c r="E3" t="s">
        <v>132</v>
      </c>
      <c r="F3" s="6"/>
      <c r="G3" s="6">
        <f>G2*-1</f>
        <v>-980</v>
      </c>
      <c r="H3" s="17">
        <f t="shared" si="0"/>
        <v>-980</v>
      </c>
      <c r="I3" s="6"/>
      <c r="J3" s="6"/>
      <c r="K3" s="6">
        <f aca="true" t="shared" si="1" ref="K3:K24">SUM(H3:J3)</f>
        <v>-980</v>
      </c>
      <c r="N3" t="s">
        <v>84</v>
      </c>
      <c r="O3" s="30">
        <v>400</v>
      </c>
      <c r="P3">
        <f>Gigs_Number*O3</f>
        <v>3600</v>
      </c>
    </row>
    <row r="4" spans="1:15" ht="15">
      <c r="A4" t="s">
        <v>79</v>
      </c>
      <c r="B4" s="30">
        <f>B3</f>
        <v>25</v>
      </c>
      <c r="C4" s="8">
        <f>B4*9</f>
        <v>225</v>
      </c>
      <c r="E4" t="s">
        <v>53</v>
      </c>
      <c r="F4" s="6">
        <f>C20</f>
        <v>600</v>
      </c>
      <c r="G4" s="6">
        <f>Dance_Tuition</f>
        <v>1320</v>
      </c>
      <c r="H4" s="17">
        <f t="shared" si="0"/>
        <v>1920</v>
      </c>
      <c r="I4" s="6"/>
      <c r="J4" s="6"/>
      <c r="K4" s="6">
        <f t="shared" si="1"/>
        <v>1920</v>
      </c>
      <c r="N4" t="s">
        <v>66</v>
      </c>
      <c r="O4" s="30">
        <v>60</v>
      </c>
    </row>
    <row r="5" spans="1:11" ht="15">
      <c r="A5" t="s">
        <v>77</v>
      </c>
      <c r="B5" s="30">
        <v>25</v>
      </c>
      <c r="C5" s="6"/>
      <c r="E5" t="s">
        <v>110</v>
      </c>
      <c r="F5" s="8">
        <f>C13</f>
        <v>900</v>
      </c>
      <c r="H5" s="17">
        <f t="shared" si="0"/>
        <v>900</v>
      </c>
      <c r="I5" s="6"/>
      <c r="J5" s="6"/>
      <c r="K5" s="6">
        <f t="shared" si="1"/>
        <v>900</v>
      </c>
    </row>
    <row r="6" spans="1:15" ht="15">
      <c r="A6" t="s">
        <v>78</v>
      </c>
      <c r="B6" s="30">
        <v>4</v>
      </c>
      <c r="C6" s="6"/>
      <c r="E6" t="s">
        <v>34</v>
      </c>
      <c r="F6" s="30">
        <v>200</v>
      </c>
      <c r="G6" s="6"/>
      <c r="H6" s="17">
        <f t="shared" si="0"/>
        <v>200</v>
      </c>
      <c r="I6" s="6"/>
      <c r="J6" s="6"/>
      <c r="K6" s="6">
        <f t="shared" si="1"/>
        <v>200</v>
      </c>
      <c r="N6" t="s">
        <v>61</v>
      </c>
      <c r="O6" s="30">
        <v>4</v>
      </c>
    </row>
    <row r="7" spans="1:16" ht="15">
      <c r="A7" t="s">
        <v>73</v>
      </c>
      <c r="B7" s="30">
        <v>3</v>
      </c>
      <c r="C7" s="6"/>
      <c r="E7" t="s">
        <v>89</v>
      </c>
      <c r="F7" s="30">
        <v>80</v>
      </c>
      <c r="G7" s="6"/>
      <c r="H7" s="17">
        <f t="shared" si="0"/>
        <v>80</v>
      </c>
      <c r="I7" s="6"/>
      <c r="J7" s="6"/>
      <c r="K7" s="6">
        <f t="shared" si="1"/>
        <v>80</v>
      </c>
      <c r="N7" t="s">
        <v>62</v>
      </c>
      <c r="O7" s="30">
        <v>45</v>
      </c>
      <c r="P7">
        <f>Minibus_hires*Minibus_rate</f>
        <v>180</v>
      </c>
    </row>
    <row r="8" spans="5:16" ht="15">
      <c r="E8" t="s">
        <v>38</v>
      </c>
      <c r="F8" s="30">
        <v>300</v>
      </c>
      <c r="G8" s="6"/>
      <c r="H8" s="17">
        <f t="shared" si="0"/>
        <v>300</v>
      </c>
      <c r="I8" s="6"/>
      <c r="J8" s="6"/>
      <c r="K8" s="6">
        <f t="shared" si="1"/>
        <v>300</v>
      </c>
      <c r="N8" t="s">
        <v>98</v>
      </c>
      <c r="O8" s="30">
        <v>173</v>
      </c>
      <c r="P8">
        <f>O8</f>
        <v>173</v>
      </c>
    </row>
    <row r="9" spans="1:16" ht="15">
      <c r="A9" t="s">
        <v>75</v>
      </c>
      <c r="B9" s="31">
        <v>0.8</v>
      </c>
      <c r="E9" t="s">
        <v>33</v>
      </c>
      <c r="F9" s="30">
        <v>500</v>
      </c>
      <c r="G9" s="6"/>
      <c r="H9" s="17">
        <f t="shared" si="0"/>
        <v>500</v>
      </c>
      <c r="I9" s="6"/>
      <c r="J9" s="6"/>
      <c r="K9" s="6">
        <f t="shared" si="1"/>
        <v>500</v>
      </c>
      <c r="N9" t="s">
        <v>67</v>
      </c>
      <c r="O9" s="33">
        <f>1.5*4.6/22</f>
        <v>0.3136363636363636</v>
      </c>
      <c r="P9" s="3">
        <f>O6*O4*O9*2</f>
        <v>150.54545454545453</v>
      </c>
    </row>
    <row r="10" spans="1:15" ht="15">
      <c r="A10" t="s">
        <v>71</v>
      </c>
      <c r="B10" s="31">
        <v>0.25</v>
      </c>
      <c r="C10" s="6">
        <f>C3*B10</f>
        <v>56.25</v>
      </c>
      <c r="D10" s="7">
        <f>B3*(1-B10)</f>
        <v>18.75</v>
      </c>
      <c r="E10" t="s">
        <v>112</v>
      </c>
      <c r="F10" s="6"/>
      <c r="G10" s="30">
        <v>100</v>
      </c>
      <c r="H10" s="17">
        <f t="shared" si="0"/>
        <v>100</v>
      </c>
      <c r="I10" s="30">
        <v>200</v>
      </c>
      <c r="J10" s="6"/>
      <c r="K10" s="6">
        <f t="shared" si="1"/>
        <v>300</v>
      </c>
      <c r="O10" s="6"/>
    </row>
    <row r="11" spans="1:16" ht="15">
      <c r="A11" t="s">
        <v>83</v>
      </c>
      <c r="B11" s="30">
        <v>0</v>
      </c>
      <c r="C11" s="6">
        <f>C10*B11</f>
        <v>0</v>
      </c>
      <c r="E11" t="s">
        <v>116</v>
      </c>
      <c r="G11" s="6"/>
      <c r="H11" s="17">
        <f t="shared" si="0"/>
        <v>0</v>
      </c>
      <c r="I11" s="6">
        <f>Van_Fund</f>
        <v>900</v>
      </c>
      <c r="J11" s="6"/>
      <c r="K11" s="6">
        <f t="shared" si="1"/>
        <v>900</v>
      </c>
      <c r="N11" t="s">
        <v>64</v>
      </c>
      <c r="O11" s="36">
        <v>0.4</v>
      </c>
      <c r="P11">
        <f>O11*Gigs_Number*O4</f>
        <v>216</v>
      </c>
    </row>
    <row r="12" spans="1:15" ht="15">
      <c r="A12" t="s">
        <v>107</v>
      </c>
      <c r="B12" s="30">
        <v>0</v>
      </c>
      <c r="C12" s="6">
        <f>C10*B12</f>
        <v>0</v>
      </c>
      <c r="E12" t="s">
        <v>54</v>
      </c>
      <c r="F12" s="6"/>
      <c r="G12" s="6"/>
      <c r="H12" s="17">
        <f t="shared" si="0"/>
        <v>0</v>
      </c>
      <c r="I12" s="6"/>
      <c r="J12" s="6"/>
      <c r="K12" s="6">
        <f t="shared" si="1"/>
        <v>0</v>
      </c>
      <c r="N12" t="s">
        <v>65</v>
      </c>
      <c r="O12" s="36">
        <v>0.25</v>
      </c>
    </row>
    <row r="13" spans="1:16" ht="15">
      <c r="A13" t="s">
        <v>125</v>
      </c>
      <c r="B13" s="30">
        <v>300</v>
      </c>
      <c r="C13" s="6">
        <f>B13*B7</f>
        <v>900</v>
      </c>
      <c r="E13" t="s">
        <v>55</v>
      </c>
      <c r="F13" s="6"/>
      <c r="G13" s="6"/>
      <c r="H13" s="17">
        <f t="shared" si="0"/>
        <v>0</v>
      </c>
      <c r="J13" s="6"/>
      <c r="K13" s="6">
        <f t="shared" si="1"/>
        <v>0</v>
      </c>
      <c r="N13" t="s">
        <v>69</v>
      </c>
      <c r="O13" s="30">
        <v>6</v>
      </c>
      <c r="P13">
        <f>O13*O12*O4*Gigs_Number</f>
        <v>810</v>
      </c>
    </row>
    <row r="14" spans="5:16" ht="15">
      <c r="E14" t="s">
        <v>56</v>
      </c>
      <c r="F14" s="6"/>
      <c r="G14" s="6"/>
      <c r="H14" s="17">
        <f t="shared" si="0"/>
        <v>0</v>
      </c>
      <c r="I14" s="6">
        <f>P7</f>
        <v>180</v>
      </c>
      <c r="J14" s="6"/>
      <c r="K14" s="6">
        <f t="shared" si="1"/>
        <v>180</v>
      </c>
      <c r="N14" t="s">
        <v>104</v>
      </c>
      <c r="O14" s="6">
        <f>MAX(0,O13-4)</f>
        <v>2</v>
      </c>
      <c r="P14">
        <f>O14*O12*O4*Gigs_Number*2</f>
        <v>540</v>
      </c>
    </row>
    <row r="15" spans="1:11" ht="15">
      <c r="A15" t="s">
        <v>131</v>
      </c>
      <c r="B15" s="30">
        <v>245</v>
      </c>
      <c r="C15" s="6">
        <f>B15*12</f>
        <v>2940</v>
      </c>
      <c r="E15" t="s">
        <v>63</v>
      </c>
      <c r="F15" s="6"/>
      <c r="G15" s="6"/>
      <c r="H15" s="17">
        <f t="shared" si="0"/>
        <v>0</v>
      </c>
      <c r="I15" s="7">
        <f>P9</f>
        <v>150.54545454545453</v>
      </c>
      <c r="J15" s="6"/>
      <c r="K15" s="6">
        <f t="shared" si="1"/>
        <v>150.54545454545453</v>
      </c>
    </row>
    <row r="16" spans="5:17" ht="15">
      <c r="E16" t="s">
        <v>91</v>
      </c>
      <c r="F16" s="6"/>
      <c r="G16" s="6"/>
      <c r="H16" s="17">
        <f t="shared" si="0"/>
        <v>0</v>
      </c>
      <c r="I16" s="6">
        <f>P8</f>
        <v>173</v>
      </c>
      <c r="J16" s="6"/>
      <c r="K16" s="6">
        <f t="shared" si="1"/>
        <v>173</v>
      </c>
      <c r="N16" s="34" t="s">
        <v>129</v>
      </c>
      <c r="O16" s="9" t="s">
        <v>49</v>
      </c>
      <c r="P16" s="12" t="s">
        <v>126</v>
      </c>
      <c r="Q16" s="12" t="s">
        <v>127</v>
      </c>
    </row>
    <row r="17" spans="1:17" ht="15">
      <c r="A17" t="s">
        <v>92</v>
      </c>
      <c r="B17" s="30">
        <v>30</v>
      </c>
      <c r="C17" s="6">
        <f>B17*B18</f>
        <v>1320</v>
      </c>
      <c r="E17" t="s">
        <v>57</v>
      </c>
      <c r="F17" s="6"/>
      <c r="G17" s="6"/>
      <c r="H17" s="17">
        <f t="shared" si="0"/>
        <v>0</v>
      </c>
      <c r="I17" s="6"/>
      <c r="J17" s="6"/>
      <c r="K17" s="6">
        <f t="shared" si="1"/>
        <v>0</v>
      </c>
      <c r="N17" s="35" t="s">
        <v>72</v>
      </c>
      <c r="O17" s="13">
        <f>H27</f>
        <v>7240</v>
      </c>
      <c r="P17" s="14">
        <f>H28</f>
        <v>249.6551724137931</v>
      </c>
      <c r="Q17" s="14">
        <f>P17/12</f>
        <v>20.804597701149426</v>
      </c>
    </row>
    <row r="18" spans="1:17" ht="15">
      <c r="A18" t="s">
        <v>93</v>
      </c>
      <c r="B18" s="30">
        <v>44</v>
      </c>
      <c r="C18" s="8"/>
      <c r="E18" t="s">
        <v>68</v>
      </c>
      <c r="F18" s="6"/>
      <c r="G18" s="6"/>
      <c r="H18" s="17">
        <f t="shared" si="0"/>
        <v>0</v>
      </c>
      <c r="I18" s="6">
        <f>P11</f>
        <v>216</v>
      </c>
      <c r="J18" s="6"/>
      <c r="K18" s="6">
        <f t="shared" si="1"/>
        <v>216</v>
      </c>
      <c r="N18" s="35" t="s">
        <v>113</v>
      </c>
      <c r="O18" s="13">
        <f>H35</f>
        <v>7860</v>
      </c>
      <c r="P18" s="14">
        <f>H36</f>
        <v>271.0344827586207</v>
      </c>
      <c r="Q18" s="14">
        <f>P18/12</f>
        <v>22.586206896551726</v>
      </c>
    </row>
    <row r="19" spans="5:17" ht="15">
      <c r="E19" t="s">
        <v>70</v>
      </c>
      <c r="F19" s="6"/>
      <c r="G19" s="6"/>
      <c r="H19" s="17">
        <f t="shared" si="0"/>
        <v>0</v>
      </c>
      <c r="I19" s="6">
        <f>P13+P14</f>
        <v>1350</v>
      </c>
      <c r="J19" s="6"/>
      <c r="K19" s="6">
        <f t="shared" si="1"/>
        <v>1350</v>
      </c>
      <c r="N19" s="35" t="s">
        <v>86</v>
      </c>
      <c r="O19" s="13">
        <f>H39</f>
        <v>620</v>
      </c>
      <c r="P19" s="14">
        <f>H40</f>
        <v>21.379310344827587</v>
      </c>
      <c r="Q19" s="14">
        <f>P19/12</f>
        <v>1.781609195402299</v>
      </c>
    </row>
    <row r="20" spans="1:11" ht="15">
      <c r="A20" t="s">
        <v>96</v>
      </c>
      <c r="B20" s="30">
        <v>300</v>
      </c>
      <c r="C20" s="6">
        <f>B20*B21</f>
        <v>600</v>
      </c>
      <c r="E20" t="s">
        <v>85</v>
      </c>
      <c r="F20" s="6"/>
      <c r="G20" s="6"/>
      <c r="H20" s="17">
        <f t="shared" si="0"/>
        <v>0</v>
      </c>
      <c r="I20" s="30"/>
      <c r="J20" s="30">
        <v>0</v>
      </c>
      <c r="K20" s="6">
        <f t="shared" si="1"/>
        <v>0</v>
      </c>
    </row>
    <row r="21" spans="1:17" ht="15">
      <c r="A21" t="s">
        <v>97</v>
      </c>
      <c r="B21" s="30">
        <v>2</v>
      </c>
      <c r="C21" s="6"/>
      <c r="E21" t="s">
        <v>102</v>
      </c>
      <c r="F21" s="30">
        <v>200</v>
      </c>
      <c r="G21" s="30"/>
      <c r="H21" s="17">
        <f t="shared" si="0"/>
        <v>200</v>
      </c>
      <c r="I21" s="30"/>
      <c r="J21" s="30"/>
      <c r="K21" s="6">
        <f t="shared" si="1"/>
        <v>200</v>
      </c>
      <c r="N21" s="34" t="s">
        <v>130</v>
      </c>
      <c r="O21" s="9" t="s">
        <v>49</v>
      </c>
      <c r="P21" s="12" t="s">
        <v>126</v>
      </c>
      <c r="Q21" s="12" t="s">
        <v>127</v>
      </c>
    </row>
    <row r="22" spans="2:17" ht="15">
      <c r="B22" s="6"/>
      <c r="C22" s="6"/>
      <c r="E22" t="s">
        <v>90</v>
      </c>
      <c r="F22" s="30">
        <v>100</v>
      </c>
      <c r="G22" s="30"/>
      <c r="H22" s="17">
        <f t="shared" si="0"/>
        <v>100</v>
      </c>
      <c r="I22" s="32"/>
      <c r="J22" s="32"/>
      <c r="K22" s="6">
        <f t="shared" si="1"/>
        <v>100</v>
      </c>
      <c r="N22" s="35" t="s">
        <v>72</v>
      </c>
      <c r="O22" s="13">
        <f>K27</f>
        <v>10409.545454545454</v>
      </c>
      <c r="P22" s="14">
        <f>L27</f>
        <v>358.94984326018806</v>
      </c>
      <c r="Q22" s="14">
        <f>L29</f>
        <v>29.912486938349005</v>
      </c>
    </row>
    <row r="23" spans="1:17" ht="15">
      <c r="A23" t="s">
        <v>105</v>
      </c>
      <c r="B23" s="30">
        <v>20</v>
      </c>
      <c r="C23" s="6">
        <f>B23*B26</f>
        <v>100</v>
      </c>
      <c r="E23" s="32"/>
      <c r="F23" s="32"/>
      <c r="G23" s="32"/>
      <c r="H23" s="17">
        <f t="shared" si="0"/>
        <v>0</v>
      </c>
      <c r="I23" s="32"/>
      <c r="J23" s="32"/>
      <c r="K23" s="6">
        <f t="shared" si="1"/>
        <v>0</v>
      </c>
      <c r="N23" s="35" t="s">
        <v>113</v>
      </c>
      <c r="O23" s="13">
        <f>K35</f>
        <v>11830</v>
      </c>
      <c r="P23" s="13">
        <f>L35</f>
        <v>407.9310344827586</v>
      </c>
      <c r="Q23" s="14">
        <f>L37</f>
        <v>33.99425287356322</v>
      </c>
    </row>
    <row r="24" spans="1:17" ht="15">
      <c r="A24" t="s">
        <v>103</v>
      </c>
      <c r="B24" s="30">
        <v>6</v>
      </c>
      <c r="C24" s="6"/>
      <c r="E24" s="32"/>
      <c r="F24" s="32"/>
      <c r="G24" s="32"/>
      <c r="H24" s="17">
        <f t="shared" si="0"/>
        <v>0</v>
      </c>
      <c r="I24" s="32"/>
      <c r="J24" s="32"/>
      <c r="K24" s="6">
        <f t="shared" si="1"/>
        <v>0</v>
      </c>
      <c r="N24" s="35" t="s">
        <v>86</v>
      </c>
      <c r="O24" s="13">
        <f>K39</f>
        <v>1420.4545454545455</v>
      </c>
      <c r="P24" s="14">
        <f>L39</f>
        <v>48.98119122257054</v>
      </c>
      <c r="Q24" s="14">
        <f>L41</f>
        <v>4.081765935214212</v>
      </c>
    </row>
    <row r="25" spans="1:8" ht="15">
      <c r="A25" t="s">
        <v>106</v>
      </c>
      <c r="B25" s="6">
        <f>B24*O2</f>
        <v>54</v>
      </c>
      <c r="C25" s="6">
        <f>B26*B25</f>
        <v>270</v>
      </c>
      <c r="F25" s="6"/>
      <c r="H25" s="18"/>
    </row>
    <row r="26" spans="1:17" ht="45">
      <c r="A26" t="s">
        <v>82</v>
      </c>
      <c r="B26" s="6">
        <v>5</v>
      </c>
      <c r="F26" s="15" t="s">
        <v>119</v>
      </c>
      <c r="G26" s="15" t="s">
        <v>74</v>
      </c>
      <c r="H26" s="16" t="s">
        <v>118</v>
      </c>
      <c r="I26" s="15" t="s">
        <v>60</v>
      </c>
      <c r="J26" s="15" t="s">
        <v>80</v>
      </c>
      <c r="K26" s="15" t="s">
        <v>49</v>
      </c>
      <c r="L26" s="26" t="s">
        <v>81</v>
      </c>
      <c r="N26" s="38" t="s">
        <v>124</v>
      </c>
      <c r="O26" s="25" t="s">
        <v>49</v>
      </c>
      <c r="P26" s="12" t="s">
        <v>126</v>
      </c>
      <c r="Q26" s="12" t="s">
        <v>127</v>
      </c>
    </row>
    <row r="27" spans="3:17" ht="15">
      <c r="C27" s="6"/>
      <c r="D27" s="39" t="s">
        <v>114</v>
      </c>
      <c r="E27" s="9" t="s">
        <v>72</v>
      </c>
      <c r="F27" s="10">
        <f>SUM(F2:F26)</f>
        <v>5820</v>
      </c>
      <c r="G27" s="10">
        <f>SUM(G2:G26)</f>
        <v>1420</v>
      </c>
      <c r="H27" s="19">
        <f>SUM(H2:H26)</f>
        <v>7240</v>
      </c>
      <c r="I27" s="10">
        <f>SUM(I2:I26)</f>
        <v>3169.5454545454545</v>
      </c>
      <c r="J27" s="11">
        <f>SUM(J2:J26)</f>
        <v>0</v>
      </c>
      <c r="K27" s="10">
        <f>SUM(H27:J27)</f>
        <v>10409.545454545454</v>
      </c>
      <c r="L27" s="11">
        <f>K27/(Band_members+Dance_members)</f>
        <v>358.94984326018806</v>
      </c>
      <c r="N27" s="46" t="s">
        <v>49</v>
      </c>
      <c r="O27" s="43">
        <f>SUM(O28:O30)</f>
        <v>2040</v>
      </c>
      <c r="P27" s="40">
        <f>SUM(P28:P30)</f>
        <v>78.46153846153847</v>
      </c>
      <c r="Q27" s="40">
        <f>P27/12</f>
        <v>6.538461538461539</v>
      </c>
    </row>
    <row r="28" spans="1:17" ht="15">
      <c r="A28" t="s">
        <v>116</v>
      </c>
      <c r="B28" s="5">
        <v>75</v>
      </c>
      <c r="C28" s="6">
        <f>B28*12</f>
        <v>900</v>
      </c>
      <c r="E28" t="s">
        <v>58</v>
      </c>
      <c r="F28" s="7">
        <f>F27/Band_members</f>
        <v>232.8</v>
      </c>
      <c r="G28" s="7">
        <f>G27/Dance_members</f>
        <v>355</v>
      </c>
      <c r="H28" s="20">
        <f>H27/(Band_members+Dance_members)</f>
        <v>249.6551724137931</v>
      </c>
      <c r="I28" s="7">
        <f>I27/(Band_members+Dance_members)</f>
        <v>109.29467084639498</v>
      </c>
      <c r="J28" s="7">
        <f>J27/(Band_members+Dance_members)</f>
        <v>0</v>
      </c>
      <c r="K28" s="7">
        <f>K27/(Band_members+Dance_members)</f>
        <v>358.94984326018806</v>
      </c>
      <c r="L28" s="6"/>
      <c r="M28" s="6"/>
      <c r="N28" s="23" t="s">
        <v>121</v>
      </c>
      <c r="O28" s="43">
        <f>C3*B7*B9</f>
        <v>540</v>
      </c>
      <c r="P28" s="40">
        <f>O28/(Band_members+Dance_members-MD_team)</f>
        <v>20.76923076923077</v>
      </c>
      <c r="Q28" s="40">
        <f>P28/12</f>
        <v>1.7307692307692308</v>
      </c>
    </row>
    <row r="29" spans="5:17" ht="15">
      <c r="E29" t="s">
        <v>59</v>
      </c>
      <c r="F29" s="7">
        <f aca="true" t="shared" si="2" ref="F29:K29">F28/12</f>
        <v>19.400000000000002</v>
      </c>
      <c r="G29" s="7">
        <f t="shared" si="2"/>
        <v>29.583333333333332</v>
      </c>
      <c r="H29" s="20">
        <f t="shared" si="2"/>
        <v>20.804597701149426</v>
      </c>
      <c r="I29" s="7">
        <f t="shared" si="2"/>
        <v>9.107889237199581</v>
      </c>
      <c r="J29" s="7">
        <f t="shared" si="2"/>
        <v>0</v>
      </c>
      <c r="K29" s="7">
        <f t="shared" si="2"/>
        <v>29.912486938349005</v>
      </c>
      <c r="L29" s="7">
        <f>L27/12</f>
        <v>29.912486938349005</v>
      </c>
      <c r="M29" s="7"/>
      <c r="N29" s="23" t="s">
        <v>122</v>
      </c>
      <c r="O29" s="44">
        <f>C13</f>
        <v>900</v>
      </c>
      <c r="P29" s="41">
        <f>O29/(Band_members+Dance_members-MD_team)</f>
        <v>34.61538461538461</v>
      </c>
      <c r="Q29" s="41">
        <f>P29/12</f>
        <v>2.8846153846153846</v>
      </c>
    </row>
    <row r="30" spans="6:17" ht="15">
      <c r="F30" s="3"/>
      <c r="G30" s="3"/>
      <c r="H30" s="21"/>
      <c r="I30" s="3"/>
      <c r="N30" s="24" t="s">
        <v>123</v>
      </c>
      <c r="O30" s="45">
        <f>C20</f>
        <v>600</v>
      </c>
      <c r="P30" s="42">
        <f>O30/(Band_members+Dance_members-MD_team)</f>
        <v>23.076923076923077</v>
      </c>
      <c r="Q30" s="42">
        <f>P30/12</f>
        <v>1.9230769230769231</v>
      </c>
    </row>
    <row r="31" spans="4:13" ht="15">
      <c r="D31" s="39" t="s">
        <v>4</v>
      </c>
      <c r="E31" t="s">
        <v>108</v>
      </c>
      <c r="F31" s="8">
        <f>Band_members*(C3+C2)</f>
        <v>7500</v>
      </c>
      <c r="G31" s="8">
        <f>C4*Dance_members</f>
        <v>900</v>
      </c>
      <c r="H31" s="22">
        <f>SUM(F31:G31)</f>
        <v>8400</v>
      </c>
      <c r="I31" s="8"/>
      <c r="J31" s="8"/>
      <c r="K31" s="8">
        <f>SUM(H31:J31)</f>
        <v>8400</v>
      </c>
      <c r="L31" s="6">
        <f>K31/Band_members</f>
        <v>336</v>
      </c>
      <c r="M31" s="6"/>
    </row>
    <row r="32" spans="5:17" ht="15">
      <c r="E32" t="s">
        <v>109</v>
      </c>
      <c r="F32" s="8">
        <f>C3*B7*(B9)*-1</f>
        <v>-540</v>
      </c>
      <c r="G32" s="8"/>
      <c r="H32" s="22">
        <f>SUM(F32:G32)</f>
        <v>-540</v>
      </c>
      <c r="I32" s="8"/>
      <c r="J32" s="8"/>
      <c r="K32" s="8">
        <f>SUM(H32:J32)</f>
        <v>-540</v>
      </c>
      <c r="L32" s="6">
        <f>K32/Band_members</f>
        <v>-21.6</v>
      </c>
      <c r="M32" s="6"/>
      <c r="P32" s="3"/>
      <c r="Q32" s="3"/>
    </row>
    <row r="33" spans="5:13" ht="15">
      <c r="E33" t="s">
        <v>76</v>
      </c>
      <c r="F33" s="7">
        <f>C11*-1</f>
        <v>0</v>
      </c>
      <c r="G33" s="7">
        <f>C12*-1</f>
        <v>0</v>
      </c>
      <c r="H33" s="22">
        <f>SUM(F33:G33)</f>
        <v>0</v>
      </c>
      <c r="I33" s="8"/>
      <c r="J33" s="8"/>
      <c r="K33" s="8">
        <f>SUM(H33:J33)</f>
        <v>0</v>
      </c>
      <c r="L33" s="6">
        <f>K33/Band_members</f>
        <v>0</v>
      </c>
      <c r="M33" s="6"/>
    </row>
    <row r="34" spans="5:13" ht="15">
      <c r="E34" t="s">
        <v>111</v>
      </c>
      <c r="F34" s="8"/>
      <c r="G34" s="8"/>
      <c r="H34" s="22"/>
      <c r="I34" s="8">
        <f>Gigs_Number*Ave_gig_income</f>
        <v>3600</v>
      </c>
      <c r="J34" s="8">
        <f>C23+C25</f>
        <v>370</v>
      </c>
      <c r="K34" s="8">
        <f>SUM(H34:J34)</f>
        <v>3970</v>
      </c>
      <c r="L34" s="6">
        <f>K34/Band_members</f>
        <v>158.8</v>
      </c>
      <c r="M34" s="6"/>
    </row>
    <row r="35" spans="5:13" ht="15">
      <c r="E35" s="9" t="s">
        <v>113</v>
      </c>
      <c r="F35" s="10">
        <f>SUM(F31:F34)</f>
        <v>6960</v>
      </c>
      <c r="G35" s="10">
        <f>SUM(G31:G34)</f>
        <v>900</v>
      </c>
      <c r="H35" s="19">
        <f>SUM(H31:H34)</f>
        <v>7860</v>
      </c>
      <c r="I35" s="10">
        <f>SUM(I31:I34)</f>
        <v>3600</v>
      </c>
      <c r="J35" s="11">
        <f>SUM(J31:J34)</f>
        <v>370</v>
      </c>
      <c r="K35" s="10">
        <f>SUM(H35:J35)</f>
        <v>11830</v>
      </c>
      <c r="L35" s="11">
        <f>K35/(Band_members+Dance_members)</f>
        <v>407.9310344827586</v>
      </c>
      <c r="M35" s="37"/>
    </row>
    <row r="36" spans="5:13" ht="15">
      <c r="E36" t="s">
        <v>58</v>
      </c>
      <c r="F36" s="7">
        <f>F35/(Band_members)</f>
        <v>278.4</v>
      </c>
      <c r="G36" s="7">
        <f>G35/(Dance_members)</f>
        <v>225</v>
      </c>
      <c r="H36" s="20">
        <f>H35/(Band_members+Dance_members)</f>
        <v>271.0344827586207</v>
      </c>
      <c r="I36" s="7">
        <f>I35/(Band_members+Dance_members)</f>
        <v>124.13793103448276</v>
      </c>
      <c r="J36" s="7">
        <f>J35/(Band_members+Dance_members)</f>
        <v>12.758620689655173</v>
      </c>
      <c r="K36" s="7">
        <f>K35/(Band_members+Dance_members)</f>
        <v>407.9310344827586</v>
      </c>
      <c r="L36" s="6"/>
      <c r="M36" s="6"/>
    </row>
    <row r="37" spans="5:13" ht="15">
      <c r="E37" t="s">
        <v>59</v>
      </c>
      <c r="F37" s="7">
        <f aca="true" t="shared" si="3" ref="F37:K37">F36/12</f>
        <v>23.2</v>
      </c>
      <c r="G37" s="7">
        <f t="shared" si="3"/>
        <v>18.75</v>
      </c>
      <c r="H37" s="20">
        <f t="shared" si="3"/>
        <v>22.586206896551726</v>
      </c>
      <c r="I37" s="7">
        <f t="shared" si="3"/>
        <v>10.344827586206897</v>
      </c>
      <c r="J37" s="7">
        <f t="shared" si="3"/>
        <v>1.0632183908045978</v>
      </c>
      <c r="K37" s="7">
        <f t="shared" si="3"/>
        <v>33.99425287356322</v>
      </c>
      <c r="L37" s="7">
        <f>L35/12</f>
        <v>33.99425287356322</v>
      </c>
      <c r="M37" s="7"/>
    </row>
    <row r="38" ht="15">
      <c r="H38" s="18"/>
    </row>
    <row r="39" spans="4:13" ht="15">
      <c r="D39" s="39" t="s">
        <v>115</v>
      </c>
      <c r="E39" s="9" t="s">
        <v>86</v>
      </c>
      <c r="F39" s="10">
        <f>F35-F27</f>
        <v>1140</v>
      </c>
      <c r="G39" s="10">
        <f>G35-G27</f>
        <v>-520</v>
      </c>
      <c r="H39" s="19">
        <f>H35-H27</f>
        <v>620</v>
      </c>
      <c r="I39" s="10">
        <f>I35-I27</f>
        <v>430.4545454545455</v>
      </c>
      <c r="J39" s="11">
        <f>J35-J27</f>
        <v>370</v>
      </c>
      <c r="K39" s="10">
        <f>SUM(H39:J39)</f>
        <v>1420.4545454545455</v>
      </c>
      <c r="L39" s="11">
        <f>K39/(Band_members+Dance_members)</f>
        <v>48.98119122257054</v>
      </c>
      <c r="M39" s="37"/>
    </row>
    <row r="40" spans="5:13" ht="15">
      <c r="E40" t="s">
        <v>58</v>
      </c>
      <c r="F40" s="7">
        <f>F39/Band_members</f>
        <v>45.6</v>
      </c>
      <c r="G40" s="7">
        <f>G39/Dance_members</f>
        <v>-130</v>
      </c>
      <c r="H40" s="20">
        <f>H39/(Band_members+Dance_members)</f>
        <v>21.379310344827587</v>
      </c>
      <c r="I40" s="7">
        <f>I39/(Band_members+Dance_members)</f>
        <v>14.843260188087775</v>
      </c>
      <c r="J40" s="7">
        <f>J39/(Band_members+Dance_members)</f>
        <v>12.758620689655173</v>
      </c>
      <c r="K40" s="7">
        <f>K39/(Band_members+Dance_members)</f>
        <v>48.98119122257054</v>
      </c>
      <c r="L40" s="6"/>
      <c r="M40" s="6"/>
    </row>
    <row r="41" spans="5:13" ht="15">
      <c r="E41" s="27" t="s">
        <v>59</v>
      </c>
      <c r="F41" s="28">
        <f aca="true" t="shared" si="4" ref="F41:K41">F40/12</f>
        <v>3.8000000000000003</v>
      </c>
      <c r="G41" s="28">
        <f t="shared" si="4"/>
        <v>-10.833333333333334</v>
      </c>
      <c r="H41" s="29">
        <f t="shared" si="4"/>
        <v>1.781609195402299</v>
      </c>
      <c r="I41" s="28">
        <f t="shared" si="4"/>
        <v>1.2369383490073147</v>
      </c>
      <c r="J41" s="28">
        <f t="shared" si="4"/>
        <v>1.0632183908045978</v>
      </c>
      <c r="K41" s="28">
        <f t="shared" si="4"/>
        <v>4.081765935214212</v>
      </c>
      <c r="L41" s="28">
        <f>L39/12</f>
        <v>4.081765935214212</v>
      </c>
      <c r="M41" s="28"/>
    </row>
  </sheetData>
  <sheetProtection sheet="1" selectLockedCells="1"/>
  <conditionalFormatting sqref="O19:Q19 O24:Q24 F39:L4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carter</cp:lastModifiedBy>
  <dcterms:created xsi:type="dcterms:W3CDTF">2012-01-25T19:42:22Z</dcterms:created>
  <dcterms:modified xsi:type="dcterms:W3CDTF">2012-03-07T12:35:06Z</dcterms:modified>
  <cp:category/>
  <cp:version/>
  <cp:contentType/>
  <cp:contentStatus/>
</cp:coreProperties>
</file>